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CURSOS\ZZ - PENDENT VALORAR\24-02-14 - 240013 - CSIC - reforma edifici Inst. Robòtica\"/>
    </mc:Choice>
  </mc:AlternateContent>
  <xr:revisionPtr revIDLastSave="0" documentId="13_ncr:1_{B3B3ACFE-0DD5-4779-8342-8D0A4A8B7C75}" xr6:coauthVersionLast="47" xr6:coauthVersionMax="47" xr10:uidLastSave="{00000000-0000-0000-0000-000000000000}"/>
  <bookViews>
    <workbookView xWindow="-28920" yWindow="-120" windowWidth="29040" windowHeight="15840" xr2:uid="{A00018CD-C68E-47B9-B2E8-A535FAC2FC2E}"/>
  </bookViews>
  <sheets>
    <sheet name="SUPUESTO UT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2" i="4"/>
  <c r="C16" i="4"/>
  <c r="C11" i="4"/>
  <c r="C13" i="4" s="1"/>
  <c r="C9" i="4"/>
  <c r="C10" i="4"/>
  <c r="D3" i="4"/>
  <c r="E3" i="4"/>
  <c r="C7" i="4"/>
  <c r="C3" i="4"/>
  <c r="M25" i="4"/>
  <c r="M24" i="4"/>
  <c r="M23" i="4"/>
  <c r="I24" i="4" l="1"/>
  <c r="I23" i="4"/>
  <c r="N7" i="4" l="1"/>
  <c r="L7" i="4"/>
  <c r="M7" i="4" s="1"/>
  <c r="E8" i="4"/>
  <c r="F8" i="4" s="1"/>
  <c r="I31" i="4" s="1"/>
  <c r="C8" i="4"/>
  <c r="L18" i="4"/>
  <c r="I18" i="4"/>
  <c r="L17" i="4"/>
  <c r="M17" i="4" s="1"/>
  <c r="M15" i="4"/>
  <c r="L8" i="4"/>
  <c r="I8" i="4"/>
  <c r="L6" i="4"/>
  <c r="M6" i="4" s="1"/>
  <c r="L5" i="4"/>
  <c r="L4" i="4"/>
  <c r="M4" i="4" s="1"/>
  <c r="L3" i="4"/>
  <c r="M3" i="4" s="1"/>
  <c r="L2" i="4"/>
  <c r="M2" i="4" s="1"/>
  <c r="O7" i="4" l="1"/>
  <c r="M8" i="4"/>
  <c r="M18" i="4"/>
  <c r="M5" i="4"/>
  <c r="M12" i="4" s="1"/>
  <c r="C17" i="4" l="1"/>
  <c r="D17" i="4" s="1"/>
  <c r="E10" i="4" l="1"/>
  <c r="F10" i="4" s="1"/>
  <c r="I32" i="4" s="1"/>
  <c r="I33" i="4" s="1"/>
  <c r="C15" i="4" l="1"/>
  <c r="D15" i="4" s="1"/>
</calcChain>
</file>

<file path=xl/sharedStrings.xml><?xml version="1.0" encoding="utf-8"?>
<sst xmlns="http://schemas.openxmlformats.org/spreadsheetml/2006/main" count="38" uniqueCount="38">
  <si>
    <t>PARTIDES A CD</t>
  </si>
  <si>
    <t>OBRA CIVIL</t>
  </si>
  <si>
    <t>INSTAL·LACIONS</t>
  </si>
  <si>
    <t>CQ</t>
  </si>
  <si>
    <t>SS</t>
  </si>
  <si>
    <t>RESIDUS</t>
  </si>
  <si>
    <t>GERENTE</t>
  </si>
  <si>
    <t>CAP OBRA</t>
  </si>
  <si>
    <t>CAP PRODUCCIÓ</t>
  </si>
  <si>
    <t>ENCARREGAT</t>
  </si>
  <si>
    <t>ADMINISTRATIVO</t>
  </si>
  <si>
    <t>AVALES</t>
  </si>
  <si>
    <t>COSTES ADMINISTRATIVOS UTE</t>
  </si>
  <si>
    <t>TORO</t>
  </si>
  <si>
    <t>CAMIÓN</t>
  </si>
  <si>
    <t>CARTEL/PUBLI</t>
  </si>
  <si>
    <t>CE UTE</t>
  </si>
  <si>
    <t>CAP OBRA INSTAL</t>
  </si>
  <si>
    <t>TAXES MUNICIPALS</t>
  </si>
  <si>
    <t>IMPLANTACION OBRA (Casetes, barraca, consums, TANCAMENTS)</t>
  </si>
  <si>
    <t>CAPATÀS/SEGURETAT</t>
  </si>
  <si>
    <t>PRL</t>
  </si>
  <si>
    <t>BI</t>
  </si>
  <si>
    <t>PEC LICITACIÓ</t>
  </si>
  <si>
    <t>PEC ESTUDI</t>
  </si>
  <si>
    <t>ENCARREGAT INSTAL</t>
  </si>
  <si>
    <t>INSTAVI</t>
  </si>
  <si>
    <t>9,90 m2 x 700 muntatge i desmuntatge</t>
  </si>
  <si>
    <t>0,08 €/m2/dia per 180 dies</t>
  </si>
  <si>
    <t>COSTOS ESTRUCTURALS UTE</t>
  </si>
  <si>
    <t>COSTOS INDIRECTES OBRA UTE</t>
  </si>
  <si>
    <t>Manteniment 3 anys</t>
  </si>
  <si>
    <t>Costos bastida 700 m2 durant 6 mesos</t>
  </si>
  <si>
    <t>7% estructural per empresa</t>
  </si>
  <si>
    <t>CD TOTAL</t>
  </si>
  <si>
    <t>CI OBRA UTE</t>
  </si>
  <si>
    <t>PEC OBJECTIU A OFERTAR</t>
  </si>
  <si>
    <t>RISC A ASSUMIR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</si>
</sst>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1" applyFont="1"/>
    <xf numFmtId="9" fontId="0" fillId="0" borderId="0" xfId="2" applyFont="1"/>
    <xf numFmtId="44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44" fontId="0" fillId="0" borderId="0" xfId="1" applyFont="1" applyFill="1"/>
    <xf numFmtId="44" fontId="2" fillId="0" borderId="0" xfId="0" applyNumberFormat="1" applyFont="1"/>
    <xf numFmtId="44" fontId="2" fillId="2" borderId="0" xfId="0" applyNumberFormat="1" applyFont="1" applyFill="1"/>
    <xf numFmtId="44" fontId="2" fillId="0" borderId="0" xfId="1" applyFont="1"/>
    <xf numFmtId="44" fontId="2" fillId="3" borderId="0" xfId="1" applyFont="1" applyFill="1"/>
    <xf numFmtId="44" fontId="0" fillId="3" borderId="0" xfId="0" applyNumberFormat="1" applyFill="1"/>
    <xf numFmtId="44" fontId="0" fillId="3" borderId="0" xfId="1" applyFont="1" applyFill="1"/>
    <xf numFmtId="44" fontId="0" fillId="4" borderId="0" xfId="0" applyNumberFormat="1" applyFill="1"/>
    <xf numFmtId="10" fontId="0" fillId="4" borderId="0" xfId="2" applyNumberFormat="1" applyFont="1" applyFill="1"/>
    <xf numFmtId="10" fontId="0" fillId="0" borderId="0" xfId="0" applyNumberFormat="1"/>
    <xf numFmtId="0" fontId="0" fillId="0" borderId="3" xfId="0" applyBorder="1"/>
    <xf numFmtId="0" fontId="0" fillId="0" borderId="4" xfId="0" applyBorder="1"/>
    <xf numFmtId="44" fontId="0" fillId="0" borderId="4" xfId="1" applyFont="1" applyBorder="1"/>
    <xf numFmtId="44" fontId="0" fillId="0" borderId="5" xfId="1" applyFont="1" applyBorder="1"/>
    <xf numFmtId="0" fontId="0" fillId="4" borderId="3" xfId="0" applyFill="1" applyBorder="1"/>
    <xf numFmtId="0" fontId="0" fillId="4" borderId="4" xfId="0" applyFill="1" applyBorder="1"/>
    <xf numFmtId="44" fontId="0" fillId="4" borderId="4" xfId="1" applyFont="1" applyFill="1" applyBorder="1"/>
    <xf numFmtId="44" fontId="0" fillId="4" borderId="5" xfId="1" applyFont="1" applyFill="1" applyBorder="1"/>
    <xf numFmtId="2" fontId="0" fillId="0" borderId="4" xfId="0" applyNumberFormat="1" applyBorder="1"/>
    <xf numFmtId="44" fontId="0" fillId="0" borderId="5" xfId="1" applyFont="1" applyFill="1" applyBorder="1"/>
    <xf numFmtId="44" fontId="0" fillId="0" borderId="6" xfId="1" applyFont="1" applyFill="1" applyBorder="1"/>
    <xf numFmtId="0" fontId="0" fillId="0" borderId="7" xfId="0" applyBorder="1"/>
    <xf numFmtId="0" fontId="0" fillId="0" borderId="1" xfId="0" applyBorder="1"/>
    <xf numFmtId="44" fontId="0" fillId="0" borderId="1" xfId="1" applyFont="1" applyBorder="1"/>
    <xf numFmtId="44" fontId="0" fillId="0" borderId="8" xfId="1" applyFont="1" applyBorder="1"/>
    <xf numFmtId="44" fontId="2" fillId="2" borderId="2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4" fontId="2" fillId="2" borderId="9" xfId="0" applyNumberFormat="1" applyFont="1" applyFill="1" applyBorder="1"/>
    <xf numFmtId="0" fontId="0" fillId="0" borderId="3" xfId="0" applyBorder="1" applyAlignment="1">
      <alignment horizontal="right"/>
    </xf>
    <xf numFmtId="0" fontId="2" fillId="0" borderId="0" xfId="0" applyFont="1"/>
    <xf numFmtId="9" fontId="2" fillId="0" borderId="0" xfId="2" applyFont="1" applyAlignment="1">
      <alignment horizontal="right"/>
    </xf>
    <xf numFmtId="44" fontId="0" fillId="0" borderId="0" xfId="0" applyNumberFormat="1" applyFont="1"/>
    <xf numFmtId="44" fontId="2" fillId="2" borderId="0" xfId="0" applyNumberFormat="1" applyFont="1" applyFill="1" applyBorder="1"/>
    <xf numFmtId="0" fontId="2" fillId="2" borderId="0" xfId="0" applyFont="1" applyFill="1"/>
    <xf numFmtId="10" fontId="0" fillId="4" borderId="0" xfId="0" applyNumberFormat="1" applyFill="1"/>
    <xf numFmtId="10" fontId="0" fillId="4" borderId="1" xfId="0" applyNumberFormat="1" applyFill="1" applyBorder="1"/>
    <xf numFmtId="0" fontId="2" fillId="5" borderId="0" xfId="0" applyFont="1" applyFill="1"/>
    <xf numFmtId="0" fontId="0" fillId="5" borderId="0" xfId="0" applyFill="1"/>
    <xf numFmtId="44" fontId="2" fillId="5" borderId="0" xfId="0" applyNumberFormat="1" applyFont="1" applyFill="1"/>
    <xf numFmtId="44" fontId="0" fillId="5" borderId="0" xfId="0" applyNumberFormat="1" applyFill="1"/>
    <xf numFmtId="164" fontId="0" fillId="5" borderId="0" xfId="2" applyNumberFormat="1" applyFon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D9129-4B4B-4FBF-8EE8-B369082FE9EE}">
  <dimension ref="A1:P33"/>
  <sheetViews>
    <sheetView tabSelected="1" workbookViewId="0">
      <selection activeCell="D22" sqref="D22"/>
    </sheetView>
  </sheetViews>
  <sheetFormatPr baseColWidth="10" defaultColWidth="11.5546875" defaultRowHeight="14.4" x14ac:dyDescent="0.3"/>
  <cols>
    <col min="2" max="2" width="17.33203125" customWidth="1"/>
    <col min="3" max="3" width="14.33203125" bestFit="1" customWidth="1"/>
    <col min="4" max="5" width="12.77734375" bestFit="1" customWidth="1"/>
    <col min="7" max="7" width="4.6640625" customWidth="1"/>
    <col min="8" max="8" width="55.109375" customWidth="1"/>
    <col min="9" max="9" width="11.77734375" bestFit="1" customWidth="1"/>
    <col min="11" max="11" width="11.77734375" bestFit="1" customWidth="1"/>
    <col min="12" max="12" width="11.6640625" bestFit="1" customWidth="1"/>
    <col min="13" max="13" width="12.77734375" bestFit="1" customWidth="1"/>
    <col min="14" max="15" width="11.77734375" bestFit="1" customWidth="1"/>
  </cols>
  <sheetData>
    <row r="1" spans="1:16" x14ac:dyDescent="0.3">
      <c r="A1" t="s">
        <v>0</v>
      </c>
      <c r="H1" s="32" t="s">
        <v>29</v>
      </c>
      <c r="I1" s="33"/>
      <c r="J1" s="33"/>
      <c r="K1" s="33"/>
      <c r="L1" s="33"/>
      <c r="M1" s="34"/>
    </row>
    <row r="2" spans="1:16" x14ac:dyDescent="0.3">
      <c r="B2" t="s">
        <v>1</v>
      </c>
      <c r="C2" s="1">
        <f>934683.31-69000</f>
        <v>865683.31</v>
      </c>
      <c r="D2" s="3"/>
      <c r="E2" s="3"/>
      <c r="H2" s="27" t="s">
        <v>6</v>
      </c>
      <c r="I2" s="28">
        <v>0.1</v>
      </c>
      <c r="J2" s="28">
        <v>10</v>
      </c>
      <c r="K2" s="29">
        <v>80000</v>
      </c>
      <c r="L2" s="29">
        <f>K2/12</f>
        <v>6666.666666666667</v>
      </c>
      <c r="M2" s="30">
        <f>J2*I2*L2</f>
        <v>6666.666666666667</v>
      </c>
    </row>
    <row r="3" spans="1:16" x14ac:dyDescent="0.3">
      <c r="B3" t="s">
        <v>2</v>
      </c>
      <c r="C3" s="1">
        <f>564522.33-40000</f>
        <v>524522.32999999996</v>
      </c>
      <c r="D3" s="3">
        <f>+C2+C4+C5+C6</f>
        <v>926028.18</v>
      </c>
      <c r="E3" s="3">
        <f>+C3</f>
        <v>524522.32999999996</v>
      </c>
      <c r="H3" s="16" t="s">
        <v>7</v>
      </c>
      <c r="I3" s="17">
        <v>0.6</v>
      </c>
      <c r="J3" s="17">
        <v>10</v>
      </c>
      <c r="K3" s="18">
        <v>60000</v>
      </c>
      <c r="L3" s="18">
        <f t="shared" ref="L3" si="0">K3/12</f>
        <v>5000</v>
      </c>
      <c r="M3" s="19">
        <f t="shared" ref="M3:M4" si="1">J3*I3*L3</f>
        <v>30000</v>
      </c>
    </row>
    <row r="4" spans="1:16" x14ac:dyDescent="0.3">
      <c r="B4" t="s">
        <v>5</v>
      </c>
      <c r="C4" s="1">
        <v>18799.38</v>
      </c>
      <c r="D4" s="1"/>
      <c r="E4" s="3"/>
      <c r="F4" s="4"/>
      <c r="H4" s="20" t="s">
        <v>17</v>
      </c>
      <c r="I4" s="21">
        <v>0.4</v>
      </c>
      <c r="J4" s="21">
        <v>10</v>
      </c>
      <c r="K4" s="22">
        <v>60000</v>
      </c>
      <c r="L4" s="22">
        <f>K4/12</f>
        <v>5000</v>
      </c>
      <c r="M4" s="23">
        <f t="shared" si="1"/>
        <v>20000</v>
      </c>
    </row>
    <row r="5" spans="1:16" x14ac:dyDescent="0.3">
      <c r="B5" t="s">
        <v>3</v>
      </c>
      <c r="C5" s="1">
        <v>18095.490000000002</v>
      </c>
      <c r="G5" s="4"/>
      <c r="H5" s="16" t="s">
        <v>8</v>
      </c>
      <c r="I5" s="17">
        <v>0.5</v>
      </c>
      <c r="J5" s="17">
        <v>10</v>
      </c>
      <c r="K5" s="18">
        <v>45000</v>
      </c>
      <c r="L5" s="18">
        <f>K5/12</f>
        <v>3750</v>
      </c>
      <c r="M5" s="19">
        <f>J5*I5*L5</f>
        <v>18750</v>
      </c>
    </row>
    <row r="6" spans="1:16" x14ac:dyDescent="0.3">
      <c r="B6" t="s">
        <v>4</v>
      </c>
      <c r="C6" s="1">
        <v>23450</v>
      </c>
      <c r="G6" s="4"/>
      <c r="H6" s="16" t="s">
        <v>9</v>
      </c>
      <c r="I6" s="17">
        <v>0.6</v>
      </c>
      <c r="J6" s="17">
        <v>10</v>
      </c>
      <c r="K6" s="18">
        <v>50000</v>
      </c>
      <c r="L6" s="18">
        <f>K6/12</f>
        <v>4166.666666666667</v>
      </c>
      <c r="M6" s="19">
        <f>J6*I6*L6</f>
        <v>25000</v>
      </c>
      <c r="N6" s="3"/>
      <c r="O6" s="3"/>
    </row>
    <row r="7" spans="1:16" x14ac:dyDescent="0.3">
      <c r="A7" s="37" t="s">
        <v>34</v>
      </c>
      <c r="C7" s="9">
        <f>SUM(C2:C6)</f>
        <v>1450550.51</v>
      </c>
      <c r="D7" s="3"/>
      <c r="E7" s="3"/>
      <c r="F7" s="4"/>
      <c r="G7" s="4"/>
      <c r="H7" s="20" t="s">
        <v>25</v>
      </c>
      <c r="I7" s="21">
        <v>0.4</v>
      </c>
      <c r="J7" s="21">
        <v>10</v>
      </c>
      <c r="K7" s="22">
        <v>50000</v>
      </c>
      <c r="L7" s="22">
        <f>K7/12</f>
        <v>4166.666666666667</v>
      </c>
      <c r="M7" s="23">
        <f>J7*I7*L7</f>
        <v>16666.666666666668</v>
      </c>
      <c r="N7" s="13">
        <f>+M4+M7</f>
        <v>36666.666666666672</v>
      </c>
      <c r="O7" s="14">
        <f>+N7/E3</f>
        <v>6.9904872623185885E-2</v>
      </c>
      <c r="P7" s="2"/>
    </row>
    <row r="8" spans="1:16" x14ac:dyDescent="0.3">
      <c r="B8" s="38" t="s">
        <v>33</v>
      </c>
      <c r="C8" s="10">
        <f>+C7*0.07</f>
        <v>101538.53570000001</v>
      </c>
      <c r="D8" s="11"/>
      <c r="E8" s="12">
        <f>+E3*0.07</f>
        <v>36716.563099999999</v>
      </c>
      <c r="F8" s="14">
        <f>E8/E3</f>
        <v>7.0000000000000007E-2</v>
      </c>
      <c r="H8" s="16" t="s">
        <v>10</v>
      </c>
      <c r="I8" s="24">
        <f>4/22</f>
        <v>0.18181818181818182</v>
      </c>
      <c r="J8" s="17">
        <v>10</v>
      </c>
      <c r="K8" s="18">
        <v>35000</v>
      </c>
      <c r="L8" s="18">
        <f>K8/12</f>
        <v>2916.6666666666665</v>
      </c>
      <c r="M8" s="19">
        <f>J8*I8*L8</f>
        <v>5303.030303030303</v>
      </c>
    </row>
    <row r="9" spans="1:16" x14ac:dyDescent="0.3">
      <c r="A9" s="41" t="s">
        <v>16</v>
      </c>
      <c r="C9" s="40">
        <f>+M12</f>
        <v>170829.73876011363</v>
      </c>
      <c r="H9" s="16" t="s">
        <v>18</v>
      </c>
      <c r="I9" s="17"/>
      <c r="J9" s="17"/>
      <c r="K9" s="17"/>
      <c r="L9" s="17"/>
      <c r="M9" s="25">
        <v>35179.07</v>
      </c>
    </row>
    <row r="10" spans="1:16" x14ac:dyDescent="0.3">
      <c r="A10" s="41" t="s">
        <v>35</v>
      </c>
      <c r="B10" s="2"/>
      <c r="C10" s="8">
        <f>+M25</f>
        <v>114726</v>
      </c>
      <c r="D10" s="3"/>
      <c r="E10" s="1">
        <f>+C10/2</f>
        <v>57363</v>
      </c>
      <c r="F10" s="14">
        <f>+E10/E3</f>
        <v>0.10936236022592213</v>
      </c>
      <c r="H10" s="16" t="s">
        <v>11</v>
      </c>
      <c r="I10" s="17"/>
      <c r="J10" s="17"/>
      <c r="K10" s="17"/>
      <c r="L10" s="17"/>
      <c r="M10" s="25">
        <v>11264.305123750002</v>
      </c>
    </row>
    <row r="11" spans="1:16" x14ac:dyDescent="0.3">
      <c r="B11" s="2"/>
      <c r="C11" s="39">
        <f>+C7+C8+C10+C9</f>
        <v>1837644.7844601138</v>
      </c>
      <c r="E11" s="3"/>
      <c r="H11" s="16" t="s">
        <v>12</v>
      </c>
      <c r="I11" s="17"/>
      <c r="J11" s="17"/>
      <c r="K11" s="17"/>
      <c r="L11" s="17"/>
      <c r="M11" s="26">
        <v>2000</v>
      </c>
    </row>
    <row r="12" spans="1:16" x14ac:dyDescent="0.3">
      <c r="A12" t="s">
        <v>22</v>
      </c>
      <c r="B12" s="2">
        <v>0.06</v>
      </c>
      <c r="C12" s="39">
        <f>+B12*(C7+C8)</f>
        <v>93125.342742000008</v>
      </c>
      <c r="E12" s="3"/>
      <c r="F12" s="2"/>
      <c r="M12" s="31">
        <f>SUM(M2:M11)</f>
        <v>170829.73876011363</v>
      </c>
    </row>
    <row r="13" spans="1:16" x14ac:dyDescent="0.3">
      <c r="A13" s="37" t="s">
        <v>24</v>
      </c>
      <c r="C13" s="7">
        <f>+C11+C12</f>
        <v>1930770.1272021139</v>
      </c>
    </row>
    <row r="14" spans="1:16" x14ac:dyDescent="0.3">
      <c r="A14" t="s">
        <v>23</v>
      </c>
      <c r="C14" s="1">
        <v>1802288.8198000002</v>
      </c>
      <c r="H14" s="32" t="s">
        <v>30</v>
      </c>
      <c r="I14" s="33"/>
      <c r="J14" s="33"/>
      <c r="K14" s="33"/>
      <c r="L14" s="33"/>
      <c r="M14" s="34"/>
    </row>
    <row r="15" spans="1:16" x14ac:dyDescent="0.3">
      <c r="C15" s="1">
        <f>C14-C13</f>
        <v>-128481.30740211369</v>
      </c>
      <c r="D15" s="5">
        <f>C15/C13</f>
        <v>-6.654407253974684E-2</v>
      </c>
      <c r="H15" s="16" t="s">
        <v>13</v>
      </c>
      <c r="I15" s="17">
        <v>10</v>
      </c>
      <c r="J15" s="18">
        <v>1300</v>
      </c>
      <c r="K15" s="17"/>
      <c r="L15" s="17"/>
      <c r="M15" s="19">
        <f>+I15*J15</f>
        <v>13000</v>
      </c>
    </row>
    <row r="16" spans="1:16" x14ac:dyDescent="0.3">
      <c r="A16" s="44" t="s">
        <v>36</v>
      </c>
      <c r="B16" s="45"/>
      <c r="C16" s="46">
        <f>C14*0.965</f>
        <v>1739208.711107</v>
      </c>
      <c r="D16" s="45"/>
      <c r="H16" s="16" t="s">
        <v>14</v>
      </c>
      <c r="I16" s="17"/>
      <c r="J16" s="18"/>
      <c r="K16" s="17"/>
      <c r="L16" s="17"/>
      <c r="M16" s="19">
        <v>9200</v>
      </c>
    </row>
    <row r="17" spans="1:13" x14ac:dyDescent="0.3">
      <c r="A17" s="44" t="s">
        <v>37</v>
      </c>
      <c r="B17" s="45"/>
      <c r="C17" s="47">
        <f>C16-C13</f>
        <v>-191561.41609511385</v>
      </c>
      <c r="D17" s="48">
        <f>C17/C13</f>
        <v>-9.921503000085577E-2</v>
      </c>
      <c r="H17" s="16" t="s">
        <v>20</v>
      </c>
      <c r="I17" s="17">
        <v>1</v>
      </c>
      <c r="J17" s="17">
        <v>10</v>
      </c>
      <c r="K17" s="18">
        <v>45000</v>
      </c>
      <c r="L17" s="18">
        <f>K17/12</f>
        <v>3750</v>
      </c>
      <c r="M17" s="19">
        <f>J17*I17*L17</f>
        <v>37500</v>
      </c>
    </row>
    <row r="18" spans="1:13" x14ac:dyDescent="0.3">
      <c r="C18" s="1"/>
      <c r="H18" s="16" t="s">
        <v>21</v>
      </c>
      <c r="I18" s="17">
        <f>1/5</f>
        <v>0.2</v>
      </c>
      <c r="J18" s="17">
        <v>10</v>
      </c>
      <c r="K18" s="18">
        <v>45000</v>
      </c>
      <c r="L18" s="18">
        <f>K18/12</f>
        <v>3750</v>
      </c>
      <c r="M18" s="19">
        <f>J18*I18*L18</f>
        <v>7500</v>
      </c>
    </row>
    <row r="19" spans="1:13" x14ac:dyDescent="0.3">
      <c r="H19" s="16" t="s">
        <v>15</v>
      </c>
      <c r="I19" s="17"/>
      <c r="J19" s="17"/>
      <c r="K19" s="18"/>
      <c r="L19" s="18"/>
      <c r="M19" s="19">
        <v>1000</v>
      </c>
    </row>
    <row r="20" spans="1:13" x14ac:dyDescent="0.3">
      <c r="H20" s="16" t="s">
        <v>19</v>
      </c>
      <c r="I20" s="17"/>
      <c r="J20" s="17"/>
      <c r="K20" s="18"/>
      <c r="L20" s="18"/>
      <c r="M20" s="25">
        <v>11750</v>
      </c>
    </row>
    <row r="21" spans="1:13" x14ac:dyDescent="0.3">
      <c r="H21" s="16" t="s">
        <v>31</v>
      </c>
      <c r="I21" s="17"/>
      <c r="J21" s="17"/>
      <c r="K21" s="17"/>
      <c r="L21" s="17"/>
      <c r="M21" s="25">
        <v>17766</v>
      </c>
    </row>
    <row r="22" spans="1:13" x14ac:dyDescent="0.3">
      <c r="H22" s="16" t="s">
        <v>32</v>
      </c>
      <c r="I22" s="17"/>
      <c r="J22" s="17"/>
      <c r="K22" s="17"/>
      <c r="L22" s="17"/>
      <c r="M22" s="25"/>
    </row>
    <row r="23" spans="1:13" x14ac:dyDescent="0.3">
      <c r="H23" s="36" t="s">
        <v>27</v>
      </c>
      <c r="I23" s="18">
        <f>9.9*700</f>
        <v>6930</v>
      </c>
      <c r="J23" s="17"/>
      <c r="K23" s="17"/>
      <c r="L23" s="17"/>
      <c r="M23" s="25">
        <f>+I23</f>
        <v>6930</v>
      </c>
    </row>
    <row r="24" spans="1:13" x14ac:dyDescent="0.3">
      <c r="H24" s="36" t="s">
        <v>28</v>
      </c>
      <c r="I24" s="18">
        <f>180*700*0.08</f>
        <v>10080</v>
      </c>
      <c r="J24" s="17"/>
      <c r="K24" s="17"/>
      <c r="L24" s="17"/>
      <c r="M24" s="25">
        <f>+I24</f>
        <v>10080</v>
      </c>
    </row>
    <row r="25" spans="1:13" x14ac:dyDescent="0.3">
      <c r="M25" s="35">
        <f>SUM(M15:M24)</f>
        <v>114726</v>
      </c>
    </row>
    <row r="26" spans="1:13" x14ac:dyDescent="0.3">
      <c r="M26" s="6"/>
    </row>
    <row r="27" spans="1:13" x14ac:dyDescent="0.3">
      <c r="M27" s="6"/>
    </row>
    <row r="28" spans="1:13" x14ac:dyDescent="0.3">
      <c r="I28" t="s">
        <v>26</v>
      </c>
      <c r="M28" s="6"/>
    </row>
    <row r="30" spans="1:13" x14ac:dyDescent="0.3">
      <c r="I30" s="14">
        <v>6.4951667486150055E-2</v>
      </c>
    </row>
    <row r="31" spans="1:13" x14ac:dyDescent="0.3">
      <c r="I31" s="42">
        <f>+F8</f>
        <v>7.0000000000000007E-2</v>
      </c>
    </row>
    <row r="32" spans="1:13" x14ac:dyDescent="0.3">
      <c r="I32" s="43">
        <f>+F10</f>
        <v>0.10936236022592213</v>
      </c>
    </row>
    <row r="33" spans="9:9" x14ac:dyDescent="0.3">
      <c r="I33" s="15">
        <f>SUM(I30:I32)</f>
        <v>0.2443140277120722</v>
      </c>
    </row>
  </sheetData>
  <mergeCells count="2">
    <mergeCell ref="H1:M1"/>
    <mergeCell ref="H14:M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SUPUESTO UTE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Ruiz Montero</dc:creator>
  <cp:lastModifiedBy>Pilar Ruiz Montero</cp:lastModifiedBy>
  <dcterms:created xsi:type="dcterms:W3CDTF">2024-02-12T10:40:09Z</dcterms:created>
  <dcterms:modified xsi:type="dcterms:W3CDTF">2024-02-13T19:14:49Z</dcterms:modified>
</cp:coreProperties>
</file>